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85" windowHeight="21825" activeTab="0"/>
  </bookViews>
  <sheets>
    <sheet name="130 watt" sheetId="1" r:id="rId1"/>
    <sheet name="100 watt" sheetId="2" r:id="rId2"/>
  </sheets>
  <definedNames/>
  <calcPr fullCalcOnLoad="1"/>
</workbook>
</file>

<file path=xl/sharedStrings.xml><?xml version="1.0" encoding="utf-8"?>
<sst xmlns="http://schemas.openxmlformats.org/spreadsheetml/2006/main" count="136" uniqueCount="70">
  <si>
    <t>ALL</t>
  </si>
  <si>
    <t>h-</t>
  </si>
  <si>
    <t>h+</t>
  </si>
  <si>
    <t>W/0 1.2</t>
  </si>
  <si>
    <t>W/0 1.4</t>
  </si>
  <si>
    <t>tot</t>
  </si>
  <si>
    <t>Width</t>
  </si>
  <si>
    <t>Length</t>
  </si>
  <si>
    <t>Res@ 25</t>
  </si>
  <si>
    <t>Res@125</t>
  </si>
  <si>
    <t>http://circuitcalculator.com/wordpress/2006/01/24/trace-resistance-calculator</t>
  </si>
  <si>
    <t>Lenghth and widths in mm</t>
  </si>
  <si>
    <t>v</t>
  </si>
  <si>
    <t>for</t>
  </si>
  <si>
    <t>Tot Res@25</t>
  </si>
  <si>
    <t>Tot Res@125</t>
  </si>
  <si>
    <t>Current</t>
  </si>
  <si>
    <t>Power</t>
  </si>
  <si>
    <t>1 oz/Ft^2</t>
  </si>
  <si>
    <t>Electrical Equations:</t>
  </si>
  <si>
    <t>Resistance = Resistivity*Length/Area*(1 + (Temp_Co*(Temp - 25))</t>
  </si>
  <si>
    <t>Where, Area = Thickness*Width</t>
  </si>
  <si>
    <t>A copper Thickness of 1 oz/ft^2 = 0.0035 cm</t>
  </si>
  <si>
    <t>Copper Resistivity = 1.7E-6 ohm-cm</t>
  </si>
  <si>
    <t>Copper Temp_Co = 3.9E-3 ohm/ohm/C</t>
  </si>
  <si>
    <t>Thermal Equations:</t>
  </si>
  <si>
    <t>Thermal_Resistance = Thermal_Resistivity*Length/Area</t>
  </si>
  <si>
    <t>Copper Thermal_Resistivity = 0.249 cm-K/W (at 300K)</t>
  </si>
  <si>
    <t>=E15+E20+E25</t>
  </si>
  <si>
    <t>Goal: 130W, 4.333A 6.92 ohms</t>
  </si>
  <si>
    <t>area of heater</t>
  </si>
  <si>
    <t>w=</t>
  </si>
  <si>
    <t>h=</t>
  </si>
  <si>
    <t>A=</t>
  </si>
  <si>
    <t>mm*mm</t>
  </si>
  <si>
    <t>mm</t>
  </si>
  <si>
    <t>out1 len</t>
  </si>
  <si>
    <t>(est)</t>
  </si>
  <si>
    <t>out1 area</t>
  </si>
  <si>
    <t>out2 len</t>
  </si>
  <si>
    <t>out2 area</t>
  </si>
  <si>
    <t>out2 wid</t>
  </si>
  <si>
    <t>out1 wid</t>
  </si>
  <si>
    <t>rem area</t>
  </si>
  <si>
    <t>rem wid</t>
  </si>
  <si>
    <t>rem len</t>
  </si>
  <si>
    <t>rem ohm=</t>
  </si>
  <si>
    <t>out1 ohm</t>
  </si>
  <si>
    <t>out2 ohm</t>
  </si>
  <si>
    <t>volt</t>
  </si>
  <si>
    <t>res</t>
  </si>
  <si>
    <t>curr</t>
  </si>
  <si>
    <t>power</t>
  </si>
  <si>
    <t>thickness=</t>
  </si>
  <si>
    <t>resistivity =</t>
  </si>
  <si>
    <t>cm</t>
  </si>
  <si>
    <t>ohm-cm</t>
  </si>
  <si>
    <t>out3 len</t>
  </si>
  <si>
    <t>out3 wid</t>
  </si>
  <si>
    <t>out3 area</t>
  </si>
  <si>
    <t>out3 ohm</t>
  </si>
  <si>
    <t>b4 arcs</t>
  </si>
  <si>
    <t>W/0 1.3</t>
  </si>
  <si>
    <t>W/0 1.5</t>
  </si>
  <si>
    <t>ck</t>
  </si>
  <si>
    <t>area</t>
  </si>
  <si>
    <t>pwr@25</t>
  </si>
  <si>
    <t>pwr@125</t>
  </si>
  <si>
    <t>pwr/area</t>
  </si>
  <si>
    <t>relative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</si>
</sst>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0000000"/>
    <numFmt numFmtId="172" formatCode="0.0000000"/>
    <numFmt numFmtId="173" formatCode="0.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Lucida Sans Unicode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666666"/>
      <name val="Lucida Sans Unicod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1" fillId="0" borderId="0" xfId="53" applyAlignment="1">
      <alignment/>
    </xf>
    <xf numFmtId="0" fontId="39" fillId="0" borderId="0" xfId="0" applyFont="1" applyAlignment="1">
      <alignment/>
    </xf>
    <xf numFmtId="0" fontId="0" fillId="0" borderId="0" xfId="0" applyAlignment="1" quotePrefix="1">
      <alignment/>
    </xf>
    <xf numFmtId="11" fontId="0" fillId="0" borderId="0" xfId="0" applyNumberFormat="1" applyAlignment="1">
      <alignment/>
    </xf>
    <xf numFmtId="170" fontId="0" fillId="0" borderId="0" xfId="0" applyNumberFormat="1" applyAlignment="1">
      <alignment/>
    </xf>
    <xf numFmtId="9" fontId="0" fillId="0" borderId="0" xfId="59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ircuitcalculator.com/wordpress/2006/01/24/trace-resistance-calculato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ircuitcalculator.com/wordpress/2006/01/24/trace-resistance-calculato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71"/>
  <sheetViews>
    <sheetView tabSelected="1" zoomScalePageLayoutView="0" workbookViewId="0" topLeftCell="A1">
      <selection activeCell="H66" sqref="H66"/>
    </sheetView>
  </sheetViews>
  <sheetFormatPr defaultColWidth="9.140625" defaultRowHeight="15"/>
  <cols>
    <col min="4" max="4" width="13.57421875" style="0" bestFit="1" customWidth="1"/>
  </cols>
  <sheetData>
    <row r="1" ht="15">
      <c r="D1" t="s">
        <v>11</v>
      </c>
    </row>
    <row r="2" spans="4:12" ht="15">
      <c r="D2" s="1" t="s">
        <v>10</v>
      </c>
      <c r="L2" s="2" t="s">
        <v>19</v>
      </c>
    </row>
    <row r="3" spans="4:12" ht="15">
      <c r="D3" t="s">
        <v>18</v>
      </c>
      <c r="L3" s="2" t="s">
        <v>20</v>
      </c>
    </row>
    <row r="4" ht="15">
      <c r="L4" s="2" t="s">
        <v>21</v>
      </c>
    </row>
    <row r="5" spans="5:12" ht="15">
      <c r="E5" t="s">
        <v>1</v>
      </c>
      <c r="F5" t="s">
        <v>2</v>
      </c>
      <c r="G5" t="s">
        <v>5</v>
      </c>
      <c r="L5" s="2" t="s">
        <v>22</v>
      </c>
    </row>
    <row r="6" ht="15">
      <c r="L6" s="2" t="s">
        <v>23</v>
      </c>
    </row>
    <row r="7" spans="4:12" ht="15">
      <c r="D7" t="s">
        <v>0</v>
      </c>
      <c r="E7">
        <v>12766.76846</v>
      </c>
      <c r="F7">
        <v>12312.35362</v>
      </c>
      <c r="G7">
        <f>SUM(E7:F7)</f>
        <v>25079.12208</v>
      </c>
      <c r="L7" s="2" t="s">
        <v>24</v>
      </c>
    </row>
    <row r="8" spans="4:7" ht="15">
      <c r="D8" t="s">
        <v>3</v>
      </c>
      <c r="E8">
        <v>11864.31438</v>
      </c>
      <c r="F8">
        <v>12312.35362</v>
      </c>
      <c r="G8">
        <f>SUM(E8:F8)</f>
        <v>24176.667999999998</v>
      </c>
    </row>
    <row r="9" spans="4:12" ht="15">
      <c r="D9" t="s">
        <v>62</v>
      </c>
      <c r="E9">
        <v>11864.31438</v>
      </c>
      <c r="F9">
        <v>11418.38913</v>
      </c>
      <c r="G9">
        <f>SUM(E9:F9)</f>
        <v>23282.70351</v>
      </c>
      <c r="L9" s="2" t="s">
        <v>25</v>
      </c>
    </row>
    <row r="10" spans="4:12" ht="15">
      <c r="D10" t="s">
        <v>63</v>
      </c>
      <c r="E10">
        <v>10984.85282</v>
      </c>
      <c r="F10">
        <v>11418.38913</v>
      </c>
      <c r="G10">
        <f>SUM(E10:F10)</f>
        <v>22403.24195</v>
      </c>
      <c r="L10" s="2" t="s">
        <v>26</v>
      </c>
    </row>
    <row r="11" spans="6:12" ht="15">
      <c r="F11" t="s">
        <v>64</v>
      </c>
      <c r="G11">
        <f>E14+E19+E24+E29</f>
        <v>25079.12208</v>
      </c>
      <c r="L11" s="2" t="s">
        <v>27</v>
      </c>
    </row>
    <row r="13" spans="4:7" ht="15">
      <c r="D13" t="s">
        <v>6</v>
      </c>
      <c r="E13">
        <v>1.2</v>
      </c>
      <c r="F13" t="s">
        <v>65</v>
      </c>
      <c r="G13">
        <f>E13*E14+0.2</f>
        <v>1083.1448960000039</v>
      </c>
    </row>
    <row r="14" spans="4:9" ht="15">
      <c r="D14" t="s">
        <v>7</v>
      </c>
      <c r="E14">
        <f>(G7-G8)</f>
        <v>902.4540800000032</v>
      </c>
      <c r="H14" t="s">
        <v>68</v>
      </c>
      <c r="I14" t="s">
        <v>69</v>
      </c>
    </row>
    <row r="15" spans="4:9" ht="15">
      <c r="D15" t="s">
        <v>8</v>
      </c>
      <c r="E15">
        <v>0.365</v>
      </c>
      <c r="F15" t="s">
        <v>66</v>
      </c>
      <c r="G15">
        <f>G$34*G$34*E15</f>
        <v>7.287401540217272</v>
      </c>
      <c r="H15">
        <f>G15/G13</f>
        <v>0.006728002474211211</v>
      </c>
      <c r="I15" s="6">
        <f>H15/H$30</f>
        <v>2.503330528111008</v>
      </c>
    </row>
    <row r="16" spans="4:9" ht="15">
      <c r="D16" t="s">
        <v>9</v>
      </c>
      <c r="E16">
        <v>0.508</v>
      </c>
      <c r="F16" t="s">
        <v>67</v>
      </c>
      <c r="G16">
        <f>G$34*G$34*E16</f>
        <v>10.142465705288696</v>
      </c>
      <c r="H16">
        <f>G16/G13</f>
        <v>0.009363904813422728</v>
      </c>
      <c r="I16" s="6">
        <f>H16/H$31</f>
        <v>2.508017703051782</v>
      </c>
    </row>
    <row r="17" spans="14:16" ht="15">
      <c r="N17" t="s">
        <v>1</v>
      </c>
      <c r="O17" t="s">
        <v>2</v>
      </c>
      <c r="P17" t="s">
        <v>5</v>
      </c>
    </row>
    <row r="18" spans="4:16" ht="15">
      <c r="D18" t="s">
        <v>6</v>
      </c>
      <c r="E18">
        <v>1.3</v>
      </c>
      <c r="F18" t="s">
        <v>65</v>
      </c>
      <c r="G18">
        <f>E18*E19+0.2</f>
        <v>1162.353836999998</v>
      </c>
      <c r="M18" t="s">
        <v>61</v>
      </c>
      <c r="N18">
        <v>12766.58647</v>
      </c>
      <c r="O18">
        <v>12309.92825</v>
      </c>
      <c r="P18">
        <f>SUM(N18:O18)</f>
        <v>25076.51472</v>
      </c>
    </row>
    <row r="19" spans="4:8" ht="15">
      <c r="D19" t="s">
        <v>7</v>
      </c>
      <c r="E19">
        <f>(G8-G9)</f>
        <v>893.9644899999985</v>
      </c>
      <c r="H19" t="s">
        <v>68</v>
      </c>
    </row>
    <row r="20" spans="4:9" ht="15">
      <c r="D20" t="s">
        <v>8</v>
      </c>
      <c r="E20">
        <v>0.334</v>
      </c>
      <c r="F20" t="s">
        <v>66</v>
      </c>
      <c r="G20">
        <f>G$34*G$34*E20</f>
        <v>6.6684715463906</v>
      </c>
      <c r="H20">
        <f>G20/G18</f>
        <v>0.005737040937208702</v>
      </c>
      <c r="I20" s="6">
        <f>H20/H$30</f>
        <v>2.134617187521307</v>
      </c>
    </row>
    <row r="21" spans="4:9" ht="15">
      <c r="D21" t="s">
        <v>9</v>
      </c>
      <c r="E21">
        <v>0.464</v>
      </c>
      <c r="F21" t="s">
        <v>67</v>
      </c>
      <c r="G21">
        <f>G$34*G$34*E21</f>
        <v>9.263984423728258</v>
      </c>
      <c r="H21">
        <f>G21/G18</f>
        <v>0.007970020942709094</v>
      </c>
      <c r="I21" s="6">
        <f>H21/H$31</f>
        <v>2.1346814193748114</v>
      </c>
    </row>
    <row r="23" spans="4:7" ht="15">
      <c r="D23" t="s">
        <v>6</v>
      </c>
      <c r="E23">
        <v>1.5</v>
      </c>
      <c r="F23" t="s">
        <v>65</v>
      </c>
      <c r="G23">
        <f>E23*E24+0.2</f>
        <v>1319.3923399999996</v>
      </c>
    </row>
    <row r="24" spans="4:8" ht="15">
      <c r="D24" t="s">
        <v>7</v>
      </c>
      <c r="E24">
        <f>(G9-G10)</f>
        <v>879.4615599999997</v>
      </c>
      <c r="H24" t="s">
        <v>68</v>
      </c>
    </row>
    <row r="25" spans="4:9" ht="15">
      <c r="D25" t="s">
        <v>8</v>
      </c>
      <c r="E25">
        <v>0.285</v>
      </c>
      <c r="F25" t="s">
        <v>66</v>
      </c>
      <c r="G25">
        <f>G$34*G$34*E25</f>
        <v>5.69016284647102</v>
      </c>
      <c r="H25">
        <f>G25/G23</f>
        <v>0.004312714780859666</v>
      </c>
      <c r="I25" s="6">
        <f>H25/H$30</f>
        <v>1.6046591259952403</v>
      </c>
    </row>
    <row r="26" spans="4:9" ht="15">
      <c r="D26" t="s">
        <v>9</v>
      </c>
      <c r="E26">
        <v>0.396</v>
      </c>
      <c r="F26" t="s">
        <v>67</v>
      </c>
      <c r="G26">
        <f>G$34*G$34*E26</f>
        <v>7.906331534043945</v>
      </c>
      <c r="H26">
        <f>G26/G23</f>
        <v>0.005992403695510273</v>
      </c>
      <c r="I26" s="6">
        <f>H26/H$31</f>
        <v>1.604998646572018</v>
      </c>
    </row>
    <row r="28" spans="4:7" ht="15">
      <c r="D28" t="s">
        <v>6</v>
      </c>
      <c r="E28">
        <v>1.9</v>
      </c>
      <c r="F28" t="s">
        <v>65</v>
      </c>
      <c r="G28">
        <f>E28*E29+0.2</f>
        <v>42566.359704999995</v>
      </c>
    </row>
    <row r="29" spans="4:8" ht="15">
      <c r="D29" t="s">
        <v>7</v>
      </c>
      <c r="E29">
        <f>G10</f>
        <v>22403.24195</v>
      </c>
      <c r="H29" t="s">
        <v>68</v>
      </c>
    </row>
    <row r="30" spans="4:9" ht="15">
      <c r="D30" t="s">
        <v>8</v>
      </c>
      <c r="E30">
        <v>5.73</v>
      </c>
      <c r="F30" t="s">
        <v>66</v>
      </c>
      <c r="G30">
        <f>G$34*G$34*E30</f>
        <v>114.40222143957526</v>
      </c>
      <c r="H30">
        <f>G30/G28</f>
        <v>0.0026876205114184843</v>
      </c>
      <c r="I30" s="6">
        <f>H30/H$30</f>
        <v>1</v>
      </c>
    </row>
    <row r="31" spans="4:9" ht="15">
      <c r="D31" t="s">
        <v>9</v>
      </c>
      <c r="E31">
        <v>7.96</v>
      </c>
      <c r="F31" t="s">
        <v>67</v>
      </c>
      <c r="G31">
        <f>G$34*G$34*E31</f>
        <v>158.925250027752</v>
      </c>
      <c r="H31">
        <f>G31/G28</f>
        <v>0.0037335880053911232</v>
      </c>
      <c r="I31" s="6">
        <f>H31/H$31</f>
        <v>1</v>
      </c>
    </row>
    <row r="33" spans="4:8" ht="15">
      <c r="D33" t="s">
        <v>13</v>
      </c>
      <c r="E33">
        <v>30</v>
      </c>
      <c r="F33" t="s">
        <v>12</v>
      </c>
      <c r="G33" t="s">
        <v>16</v>
      </c>
      <c r="H33" t="s">
        <v>17</v>
      </c>
    </row>
    <row r="34" spans="4:8" ht="15">
      <c r="D34" t="s">
        <v>14</v>
      </c>
      <c r="E34">
        <f>E15+E20+E25+E30</f>
        <v>6.714</v>
      </c>
      <c r="G34">
        <f>E$33/E34</f>
        <v>4.468275245755138</v>
      </c>
      <c r="H34">
        <f>E$33*G34</f>
        <v>134.04825737265415</v>
      </c>
    </row>
    <row r="35" spans="4:8" ht="15">
      <c r="D35" t="s">
        <v>15</v>
      </c>
      <c r="E35">
        <f>E16+E21+E26+E31</f>
        <v>9.328</v>
      </c>
      <c r="G35">
        <f>E$33/E35</f>
        <v>3.216123499142367</v>
      </c>
      <c r="H35">
        <f>E$33*G35</f>
        <v>96.483704974271</v>
      </c>
    </row>
    <row r="37" ht="15">
      <c r="E37" s="3" t="s">
        <v>28</v>
      </c>
    </row>
    <row r="40" ht="15">
      <c r="C40" t="s">
        <v>29</v>
      </c>
    </row>
    <row r="42" ht="15">
      <c r="C42" t="s">
        <v>30</v>
      </c>
    </row>
    <row r="44" spans="3:10" ht="15">
      <c r="C44" t="s">
        <v>32</v>
      </c>
      <c r="D44">
        <f>101*2</f>
        <v>202</v>
      </c>
      <c r="E44" t="s">
        <v>35</v>
      </c>
      <c r="H44" t="s">
        <v>54</v>
      </c>
      <c r="I44" s="4">
        <v>1.7E-06</v>
      </c>
      <c r="J44" t="s">
        <v>56</v>
      </c>
    </row>
    <row r="45" spans="3:10" ht="15">
      <c r="C45" t="s">
        <v>31</v>
      </c>
      <c r="D45">
        <f>126.4*2</f>
        <v>252.8</v>
      </c>
      <c r="E45" t="s">
        <v>35</v>
      </c>
      <c r="H45" t="s">
        <v>53</v>
      </c>
      <c r="I45">
        <v>0.0035</v>
      </c>
      <c r="J45" t="s">
        <v>55</v>
      </c>
    </row>
    <row r="46" spans="3:5" ht="15">
      <c r="C46" t="s">
        <v>33</v>
      </c>
      <c r="D46">
        <f>D44*D45</f>
        <v>51065.600000000006</v>
      </c>
      <c r="E46" t="s">
        <v>34</v>
      </c>
    </row>
    <row r="48" spans="3:5" ht="15">
      <c r="C48" t="s">
        <v>36</v>
      </c>
      <c r="D48">
        <f>125.8*2+100.4*2</f>
        <v>452.4</v>
      </c>
      <c r="E48" t="s">
        <v>37</v>
      </c>
    </row>
    <row r="49" spans="3:4" ht="15">
      <c r="C49" t="s">
        <v>42</v>
      </c>
      <c r="D49">
        <v>1.2</v>
      </c>
    </row>
    <row r="50" spans="3:4" ht="15">
      <c r="C50" t="s">
        <v>38</v>
      </c>
      <c r="D50">
        <f>D48*(D49+0.2)</f>
        <v>633.3599999999999</v>
      </c>
    </row>
    <row r="51" spans="3:9" ht="15">
      <c r="C51" t="s">
        <v>47</v>
      </c>
      <c r="D51" s="5">
        <f>($I$44*(D48/10))/($I$45*(D49/10))</f>
        <v>0.18311428571428567</v>
      </c>
      <c r="I51" s="5"/>
    </row>
    <row r="53" spans="3:5" ht="15">
      <c r="C53" t="s">
        <v>39</v>
      </c>
      <c r="D53">
        <f>124.4*2+99*2</f>
        <v>446.8</v>
      </c>
      <c r="E53" t="s">
        <v>37</v>
      </c>
    </row>
    <row r="54" spans="3:4" ht="15">
      <c r="C54" t="s">
        <v>41</v>
      </c>
      <c r="D54">
        <v>1.3</v>
      </c>
    </row>
    <row r="55" spans="3:4" ht="15">
      <c r="C55" t="s">
        <v>40</v>
      </c>
      <c r="D55">
        <f>D53*(D54+0.2)</f>
        <v>670.2</v>
      </c>
    </row>
    <row r="56" spans="3:4" ht="15">
      <c r="C56" t="s">
        <v>48</v>
      </c>
      <c r="D56" s="5">
        <f>($I$44*(D53/10))/($I$45*(D54/10))</f>
        <v>0.16693626373626375</v>
      </c>
    </row>
    <row r="58" spans="3:5" ht="15">
      <c r="C58" t="s">
        <v>57</v>
      </c>
      <c r="D58">
        <f>122.9*2+97.5*2</f>
        <v>440.8</v>
      </c>
      <c r="E58" t="s">
        <v>37</v>
      </c>
    </row>
    <row r="59" spans="3:4" ht="15">
      <c r="C59" t="s">
        <v>58</v>
      </c>
      <c r="D59">
        <v>1.5</v>
      </c>
    </row>
    <row r="60" spans="3:4" ht="15">
      <c r="C60" t="s">
        <v>59</v>
      </c>
      <c r="D60">
        <f>D58*(D59+0.2)</f>
        <v>749.36</v>
      </c>
    </row>
    <row r="61" spans="3:4" ht="15">
      <c r="C61" t="s">
        <v>60</v>
      </c>
      <c r="D61" s="5">
        <f>($I$44*(D58/10))/($I$45*(D59/10))</f>
        <v>0.1427352380952381</v>
      </c>
    </row>
    <row r="63" spans="3:4" ht="15">
      <c r="C63" t="s">
        <v>43</v>
      </c>
      <c r="D63">
        <f>D46-D50-D55-D60-9</f>
        <v>49003.68000000001</v>
      </c>
    </row>
    <row r="64" spans="3:5" ht="15">
      <c r="C64" t="s">
        <v>44</v>
      </c>
      <c r="D64">
        <v>1.9</v>
      </c>
      <c r="E64">
        <v>1.83</v>
      </c>
    </row>
    <row r="65" spans="3:4" ht="15">
      <c r="C65" t="s">
        <v>45</v>
      </c>
      <c r="D65">
        <f>D63/(D64+0.2)</f>
        <v>23335.085714285717</v>
      </c>
    </row>
    <row r="66" spans="3:4" ht="15">
      <c r="C66" t="s">
        <v>46</v>
      </c>
      <c r="D66" s="5">
        <f>($I$44*(D65/10))/($I$45*(D64/10))</f>
        <v>5.965360257787326</v>
      </c>
    </row>
    <row r="68" spans="3:4" ht="15">
      <c r="C68" t="s">
        <v>49</v>
      </c>
      <c r="D68">
        <v>30</v>
      </c>
    </row>
    <row r="69" spans="3:4" ht="15">
      <c r="C69" t="s">
        <v>50</v>
      </c>
      <c r="D69">
        <f>D51+D61+D66</f>
        <v>6.29120978159685</v>
      </c>
    </row>
    <row r="70" spans="3:4" ht="15">
      <c r="C70" t="s">
        <v>51</v>
      </c>
      <c r="D70">
        <f>D68/D69</f>
        <v>4.768558201278949</v>
      </c>
    </row>
    <row r="71" spans="3:6" ht="15">
      <c r="C71" t="s">
        <v>52</v>
      </c>
      <c r="D71">
        <f>D68*D70</f>
        <v>143.05674603836846</v>
      </c>
      <c r="F71">
        <f>D71*3.5/3.81</f>
        <v>131.41695830296314</v>
      </c>
    </row>
  </sheetData>
  <sheetProtection/>
  <hyperlinks>
    <hyperlink ref="D2" r:id="rId1" display="http://circuitcalculator.com/wordpress/2006/01/24/trace-resistance-calculator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:L56"/>
  <sheetViews>
    <sheetView zoomScalePageLayoutView="0" workbookViewId="0" topLeftCell="A1">
      <selection activeCell="L58" sqref="L58"/>
    </sheetView>
  </sheetViews>
  <sheetFormatPr defaultColWidth="9.140625" defaultRowHeight="15"/>
  <cols>
    <col min="4" max="4" width="13.57421875" style="0" bestFit="1" customWidth="1"/>
  </cols>
  <sheetData>
    <row r="1" ht="15">
      <c r="D1" t="s">
        <v>11</v>
      </c>
    </row>
    <row r="2" spans="4:12" ht="15">
      <c r="D2" s="1" t="s">
        <v>10</v>
      </c>
      <c r="L2" s="2" t="s">
        <v>19</v>
      </c>
    </row>
    <row r="3" spans="4:12" ht="15">
      <c r="D3" t="s">
        <v>18</v>
      </c>
      <c r="L3" s="2" t="s">
        <v>20</v>
      </c>
    </row>
    <row r="4" ht="15">
      <c r="L4" s="2" t="s">
        <v>21</v>
      </c>
    </row>
    <row r="5" spans="5:12" ht="15">
      <c r="E5" t="s">
        <v>1</v>
      </c>
      <c r="F5" t="s">
        <v>2</v>
      </c>
      <c r="G5" t="s">
        <v>5</v>
      </c>
      <c r="L5" s="2" t="s">
        <v>22</v>
      </c>
    </row>
    <row r="6" ht="15">
      <c r="L6" s="2" t="s">
        <v>23</v>
      </c>
    </row>
    <row r="7" spans="4:12" ht="15">
      <c r="D7" t="s">
        <v>0</v>
      </c>
      <c r="E7">
        <v>14730.84212</v>
      </c>
      <c r="F7">
        <v>14276.04879</v>
      </c>
      <c r="G7">
        <f>SUM(E7:F7)</f>
        <v>29006.890910000002</v>
      </c>
      <c r="L7" s="2" t="s">
        <v>24</v>
      </c>
    </row>
    <row r="8" spans="4:7" ht="15">
      <c r="D8" t="s">
        <v>3</v>
      </c>
      <c r="E8">
        <v>13826.75424</v>
      </c>
      <c r="F8">
        <v>13379.23236</v>
      </c>
      <c r="G8">
        <f>SUM(E8:F8)</f>
        <v>27205.9866</v>
      </c>
    </row>
    <row r="9" spans="4:12" ht="15">
      <c r="D9" t="s">
        <v>4</v>
      </c>
      <c r="E9">
        <v>12946.71042</v>
      </c>
      <c r="F9">
        <v>12511.85563</v>
      </c>
      <c r="G9">
        <f>SUM(E9:F9)</f>
        <v>25458.56605</v>
      </c>
      <c r="L9" s="2" t="s">
        <v>25</v>
      </c>
    </row>
    <row r="10" ht="15">
      <c r="L10" s="2" t="s">
        <v>26</v>
      </c>
    </row>
    <row r="11" ht="15">
      <c r="L11" s="2" t="s">
        <v>27</v>
      </c>
    </row>
    <row r="13" spans="4:5" ht="15">
      <c r="D13" t="s">
        <v>6</v>
      </c>
      <c r="E13">
        <v>1.2</v>
      </c>
    </row>
    <row r="14" spans="4:5" ht="15">
      <c r="D14" t="s">
        <v>7</v>
      </c>
      <c r="E14">
        <f>(G7-G8)</f>
        <v>1800.9043100000017</v>
      </c>
    </row>
    <row r="15" spans="4:5" ht="15">
      <c r="D15" t="s">
        <v>8</v>
      </c>
      <c r="E15">
        <v>0.729</v>
      </c>
    </row>
    <row r="16" spans="4:5" ht="15">
      <c r="D16" t="s">
        <v>9</v>
      </c>
      <c r="E16">
        <v>1.01</v>
      </c>
    </row>
    <row r="18" spans="4:5" ht="15">
      <c r="D18" t="s">
        <v>6</v>
      </c>
      <c r="E18">
        <v>1.4</v>
      </c>
    </row>
    <row r="19" spans="4:5" ht="15">
      <c r="D19" t="s">
        <v>7</v>
      </c>
      <c r="E19">
        <f>(G8-G9)</f>
        <v>1747.420549999999</v>
      </c>
    </row>
    <row r="20" spans="4:5" ht="15">
      <c r="D20" t="s">
        <v>8</v>
      </c>
      <c r="E20">
        <v>0.606</v>
      </c>
    </row>
    <row r="21" spans="4:5" ht="15">
      <c r="D21" t="s">
        <v>9</v>
      </c>
      <c r="E21">
        <v>0.843</v>
      </c>
    </row>
    <row r="23" spans="4:5" ht="15">
      <c r="D23" t="s">
        <v>6</v>
      </c>
      <c r="E23">
        <v>1.6</v>
      </c>
    </row>
    <row r="24" spans="4:5" ht="15">
      <c r="D24" t="s">
        <v>7</v>
      </c>
      <c r="E24">
        <f>G9</f>
        <v>25458.56605</v>
      </c>
    </row>
    <row r="25" spans="4:5" ht="15">
      <c r="D25" t="s">
        <v>8</v>
      </c>
      <c r="E25">
        <v>7.73</v>
      </c>
    </row>
    <row r="26" spans="4:5" ht="15">
      <c r="D26" t="s">
        <v>9</v>
      </c>
      <c r="E26">
        <v>10.7</v>
      </c>
    </row>
    <row r="28" spans="4:8" ht="15">
      <c r="D28" t="s">
        <v>13</v>
      </c>
      <c r="E28">
        <v>30</v>
      </c>
      <c r="F28" t="s">
        <v>12</v>
      </c>
      <c r="G28" t="s">
        <v>16</v>
      </c>
      <c r="H28" t="s">
        <v>17</v>
      </c>
    </row>
    <row r="29" spans="4:8" ht="15">
      <c r="D29" t="s">
        <v>14</v>
      </c>
      <c r="E29">
        <f>E15+E20+E25</f>
        <v>9.065000000000001</v>
      </c>
      <c r="G29">
        <f>E$28/E29</f>
        <v>3.3094318808604517</v>
      </c>
      <c r="H29">
        <f>E$28*G29</f>
        <v>99.28295642581355</v>
      </c>
    </row>
    <row r="30" spans="4:8" ht="15">
      <c r="D30" t="s">
        <v>15</v>
      </c>
      <c r="E30">
        <f>E16+E21+E26</f>
        <v>12.552999999999999</v>
      </c>
      <c r="G30">
        <f>E$28/E30</f>
        <v>2.3898669640723336</v>
      </c>
      <c r="H30">
        <f>E$28*G30</f>
        <v>71.69600892217001</v>
      </c>
    </row>
    <row r="32" ht="15">
      <c r="E32" s="3" t="s">
        <v>28</v>
      </c>
    </row>
    <row r="39" ht="15">
      <c r="I39" s="4"/>
    </row>
    <row r="46" spans="4:9" ht="15">
      <c r="D46" s="5"/>
      <c r="I46" s="5"/>
    </row>
    <row r="51" ht="15">
      <c r="D51" s="5"/>
    </row>
    <row r="56" ht="15">
      <c r="D56" s="5"/>
    </row>
  </sheetData>
  <sheetProtection/>
  <hyperlinks>
    <hyperlink ref="D2" r:id="rId1" display="http://circuitcalculator.com/wordpress/2006/01/24/trace-resistance-calculato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Crystalfontz America,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Crosby</dc:creator>
  <cp:keywords/>
  <dc:description/>
  <cp:lastModifiedBy>Brent</cp:lastModifiedBy>
  <dcterms:created xsi:type="dcterms:W3CDTF">2013-05-12T18:20:55Z</dcterms:created>
  <dcterms:modified xsi:type="dcterms:W3CDTF">2019-02-19T23:11:20Z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